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NI\Operations\CP\Research\Research Projects\Transactional Stock Estimates\RDP\Supplementary Information\"/>
    </mc:Choice>
  </mc:AlternateContent>
  <bookViews>
    <workbookView xWindow="0" yWindow="0" windowWidth="28800" windowHeight="13620" activeTab="2"/>
  </bookViews>
  <sheets>
    <sheet name="Names" sheetId="1" r:id="rId1"/>
    <sheet name="Estimates of spending" sheetId="2" r:id="rId2"/>
    <sheet name="Estimates of drug-cash hoarding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3" l="1"/>
  <c r="K4" i="3"/>
  <c r="L9" i="3" s="1"/>
  <c r="L10" i="3" s="1"/>
  <c r="F17" i="3"/>
  <c r="E17" i="3"/>
  <c r="D17" i="3"/>
  <c r="C17" i="3"/>
  <c r="B17" i="3"/>
  <c r="H16" i="3"/>
  <c r="H17" i="3" s="1"/>
  <c r="G16" i="3"/>
  <c r="G17" i="3" s="1"/>
  <c r="F15" i="3"/>
  <c r="E15" i="3"/>
  <c r="D15" i="3"/>
  <c r="C15" i="3"/>
  <c r="B15" i="3"/>
  <c r="H14" i="3"/>
  <c r="G14" i="3"/>
  <c r="H13" i="3"/>
  <c r="H15" i="3" s="1"/>
  <c r="G13" i="3"/>
  <c r="G15" i="3" s="1"/>
  <c r="D6" i="3"/>
  <c r="B6" i="3"/>
  <c r="D4" i="3"/>
  <c r="B4" i="3"/>
  <c r="L11" i="3" l="1"/>
  <c r="L14" i="3" s="1"/>
  <c r="K9" i="3"/>
  <c r="K10" i="3" s="1"/>
  <c r="K11" i="3"/>
  <c r="K14" i="3" s="1"/>
  <c r="D27" i="2"/>
  <c r="D26" i="2"/>
  <c r="D23" i="2"/>
  <c r="D24" i="2"/>
  <c r="D25" i="2"/>
  <c r="D22" i="2"/>
  <c r="G15" i="2"/>
  <c r="E15" i="2"/>
  <c r="C15" i="2"/>
  <c r="I5" i="2"/>
  <c r="J5" i="2"/>
  <c r="K5" i="2"/>
  <c r="I6" i="2"/>
  <c r="J6" i="2"/>
  <c r="K6" i="2"/>
  <c r="I7" i="2"/>
  <c r="J7" i="2"/>
  <c r="K7" i="2"/>
  <c r="J4" i="2"/>
  <c r="K4" i="2"/>
  <c r="I4" i="2"/>
  <c r="E5" i="2"/>
  <c r="E6" i="2"/>
  <c r="E7" i="2"/>
  <c r="E4" i="2"/>
  <c r="C5" i="2"/>
  <c r="C6" i="2"/>
  <c r="C7" i="2"/>
  <c r="C4" i="2"/>
</calcChain>
</file>

<file path=xl/sharedStrings.xml><?xml version="1.0" encoding="utf-8"?>
<sst xmlns="http://schemas.openxmlformats.org/spreadsheetml/2006/main" count="84" uniqueCount="67">
  <si>
    <t>ACIC: Price Tables</t>
  </si>
  <si>
    <t>Other Names</t>
  </si>
  <si>
    <t>Amphetamine</t>
  </si>
  <si>
    <t>Speed</t>
  </si>
  <si>
    <t>MDMA</t>
  </si>
  <si>
    <t>(Ecstasy)</t>
  </si>
  <si>
    <t>Methylamphetamine (Ice)</t>
  </si>
  <si>
    <t>Ice, Crystal Meth</t>
  </si>
  <si>
    <t>Cannabis</t>
  </si>
  <si>
    <t>Marijuana, Weed</t>
  </si>
  <si>
    <t>Heroin</t>
  </si>
  <si>
    <t>Cocaine</t>
  </si>
  <si>
    <t>Drug</t>
  </si>
  <si>
    <t xml:space="preserve">Methylamphetamine </t>
  </si>
  <si>
    <t>ACIC estimate (kg)</t>
  </si>
  <si>
    <t>Low</t>
  </si>
  <si>
    <t>Mid</t>
  </si>
  <si>
    <t>High</t>
  </si>
  <si>
    <t>Price per gram estimates from ACIC price tables</t>
  </si>
  <si>
    <t>Estimated Purity</t>
  </si>
  <si>
    <t>Estimated Sold Quatity (g)</t>
  </si>
  <si>
    <t>ACIC estimate (g)</t>
  </si>
  <si>
    <t>Expenditure Low</t>
  </si>
  <si>
    <t>Expenditure Medium</t>
  </si>
  <si>
    <t>Expenditure High</t>
  </si>
  <si>
    <t>Estimated price per gram</t>
  </si>
  <si>
    <t>Estimated Expenditure</t>
  </si>
  <si>
    <t>Estimates for RDP</t>
  </si>
  <si>
    <t>Total</t>
  </si>
  <si>
    <t>Estimated (kg)</t>
  </si>
  <si>
    <t>Estimated (g)</t>
  </si>
  <si>
    <t>$b</t>
  </si>
  <si>
    <t>Drug spending</t>
  </si>
  <si>
    <t>$m</t>
  </si>
  <si>
    <t>Underground</t>
  </si>
  <si>
    <t>Drugs</t>
  </si>
  <si>
    <t>Production</t>
  </si>
  <si>
    <t>HFCE</t>
  </si>
  <si>
    <t>GDP</t>
  </si>
  <si>
    <t>Ratio</t>
  </si>
  <si>
    <t>HFCE now</t>
  </si>
  <si>
    <t>GDP now</t>
  </si>
  <si>
    <t>Drugs now</t>
  </si>
  <si>
    <t>Prod now</t>
  </si>
  <si>
    <t>https://acic.govcms.gov.au/sites/g/files/net1491/f/acic_2016-17_annual_report.pdf?v=1508387578</t>
  </si>
  <si>
    <t>2012-13</t>
  </si>
  <si>
    <t>2013-14</t>
  </si>
  <si>
    <t>2014-15</t>
  </si>
  <si>
    <t>2015-16</t>
  </si>
  <si>
    <t>2016-17</t>
  </si>
  <si>
    <t>Average</t>
  </si>
  <si>
    <t>Seizures - cash</t>
  </si>
  <si>
    <t>Seizures - drugs</t>
  </si>
  <si>
    <t>Raito</t>
  </si>
  <si>
    <t>Seizures - PoC</t>
  </si>
  <si>
    <t>Data</t>
  </si>
  <si>
    <t>Sieze</t>
  </si>
  <si>
    <t>Cash held</t>
  </si>
  <si>
    <t>Market</t>
  </si>
  <si>
    <t>Working - assumptions</t>
  </si>
  <si>
    <t>Months supply</t>
  </si>
  <si>
    <t>Annualised seizure</t>
  </si>
  <si>
    <t>Market share</t>
  </si>
  <si>
    <t>Annualised cash</t>
  </si>
  <si>
    <t>Ratio of inventory to sales</t>
  </si>
  <si>
    <t>Layers of supply</t>
  </si>
  <si>
    <t>Final cash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</si>
</sst>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3" xfId="0" applyFont="1" applyBorder="1"/>
    <xf numFmtId="43" fontId="0" fillId="0" borderId="0" xfId="1" applyFont="1"/>
    <xf numFmtId="164" fontId="0" fillId="0" borderId="0" xfId="3" applyNumberFormat="1" applyFont="1"/>
    <xf numFmtId="0" fontId="3" fillId="0" borderId="0" xfId="4"/>
    <xf numFmtId="0" fontId="2" fillId="0" borderId="7" xfId="0" applyFont="1" applyBorder="1"/>
    <xf numFmtId="0" fontId="0" fillId="0" borderId="2" xfId="0" applyBorder="1"/>
    <xf numFmtId="2" fontId="0" fillId="0" borderId="0" xfId="0" applyNumberFormat="1" applyBorder="1"/>
    <xf numFmtId="0" fontId="0" fillId="0" borderId="8" xfId="0" applyBorder="1"/>
    <xf numFmtId="0" fontId="0" fillId="0" borderId="7" xfId="0" applyBorder="1"/>
    <xf numFmtId="1" fontId="0" fillId="0" borderId="0" xfId="0" applyNumberFormat="1" applyBorder="1"/>
    <xf numFmtId="1" fontId="0" fillId="0" borderId="4" xfId="0" applyNumberFormat="1" applyBorder="1"/>
    <xf numFmtId="2" fontId="0" fillId="0" borderId="4" xfId="0" applyNumberFormat="1" applyBorder="1"/>
    <xf numFmtId="9" fontId="0" fillId="0" borderId="0" xfId="3" applyFont="1" applyBorder="1"/>
    <xf numFmtId="9" fontId="0" fillId="0" borderId="4" xfId="3" applyFont="1" applyBorder="1"/>
    <xf numFmtId="165" fontId="0" fillId="0" borderId="0" xfId="2" applyNumberFormat="1" applyFont="1" applyBorder="1"/>
    <xf numFmtId="165" fontId="0" fillId="0" borderId="4" xfId="2" applyNumberFormat="1" applyFont="1" applyBorder="1"/>
    <xf numFmtId="0" fontId="0" fillId="0" borderId="0" xfId="0" applyBorder="1"/>
    <xf numFmtId="165" fontId="0" fillId="0" borderId="8" xfId="0" applyNumberFormat="1" applyBorder="1"/>
    <xf numFmtId="165" fontId="0" fillId="0" borderId="6" xfId="0" applyNumberFormat="1" applyBorder="1"/>
    <xf numFmtId="0" fontId="2" fillId="0" borderId="0" xfId="0" applyFont="1" applyAlignment="1">
      <alignment horizontal="center" wrapText="1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acic.govcms.gov.au/sites/g/files/net1491/f/acic_2016-17_annual_report.pdf?v=15083875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70" zoomScaleNormal="70" workbookViewId="0">
      <selection activeCell="M31" sqref="M31"/>
    </sheetView>
  </sheetViews>
  <sheetFormatPr defaultRowHeight="15" x14ac:dyDescent="0.25"/>
  <cols>
    <col min="1" max="1" width="25.28515625" bestFit="1" customWidth="1"/>
    <col min="2" max="2" width="17.28515625" bestFit="1" customWidth="1"/>
  </cols>
  <sheetData>
    <row r="1" spans="1:2" x14ac:dyDescent="0.25">
      <c r="A1" s="2" t="s">
        <v>0</v>
      </c>
      <c r="B1" s="3" t="s">
        <v>1</v>
      </c>
    </row>
    <row r="2" spans="1:2" x14ac:dyDescent="0.25">
      <c r="A2" s="4" t="s">
        <v>2</v>
      </c>
      <c r="B2" s="5" t="s">
        <v>3</v>
      </c>
    </row>
    <row r="3" spans="1:2" x14ac:dyDescent="0.25">
      <c r="A3" s="4" t="s">
        <v>4</v>
      </c>
      <c r="B3" s="5" t="s">
        <v>5</v>
      </c>
    </row>
    <row r="4" spans="1:2" x14ac:dyDescent="0.25">
      <c r="A4" s="4" t="s">
        <v>6</v>
      </c>
      <c r="B4" s="5" t="s">
        <v>7</v>
      </c>
    </row>
    <row r="5" spans="1:2" x14ac:dyDescent="0.25">
      <c r="A5" s="4" t="s">
        <v>8</v>
      </c>
      <c r="B5" s="5" t="s">
        <v>9</v>
      </c>
    </row>
    <row r="6" spans="1:2" x14ac:dyDescent="0.25">
      <c r="A6" s="4" t="s">
        <v>10</v>
      </c>
      <c r="B6" s="5"/>
    </row>
    <row r="7" spans="1:2" x14ac:dyDescent="0.25">
      <c r="A7" s="6" t="s">
        <v>11</v>
      </c>
      <c r="B7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zoomScale="70" zoomScaleNormal="70" workbookViewId="0"/>
  </sheetViews>
  <sheetFormatPr defaultRowHeight="15" x14ac:dyDescent="0.25"/>
  <cols>
    <col min="1" max="1" width="21" bestFit="1" customWidth="1"/>
    <col min="2" max="2" width="22.85546875" bestFit="1" customWidth="1"/>
    <col min="3" max="3" width="25.28515625" bestFit="1" customWidth="1"/>
    <col min="4" max="4" width="21.42578125" bestFit="1" customWidth="1"/>
    <col min="5" max="5" width="31.7109375" bestFit="1" customWidth="1"/>
    <col min="6" max="6" width="30.140625" bestFit="1" customWidth="1"/>
    <col min="7" max="7" width="27.42578125" bestFit="1" customWidth="1"/>
    <col min="9" max="9" width="20.5703125" bestFit="1" customWidth="1"/>
    <col min="10" max="10" width="24.85546875" bestFit="1" customWidth="1"/>
    <col min="11" max="11" width="21.140625" bestFit="1" customWidth="1"/>
  </cols>
  <sheetData>
    <row r="2" spans="1:11" ht="80.25" customHeight="1" x14ac:dyDescent="0.25">
      <c r="F2" s="27" t="s">
        <v>18</v>
      </c>
      <c r="G2" s="27"/>
      <c r="H2" s="27"/>
    </row>
    <row r="3" spans="1:11" x14ac:dyDescent="0.25">
      <c r="A3" s="1" t="s">
        <v>12</v>
      </c>
      <c r="B3" s="1" t="s">
        <v>14</v>
      </c>
      <c r="C3" s="1" t="s">
        <v>21</v>
      </c>
      <c r="D3" s="1" t="s">
        <v>19</v>
      </c>
      <c r="E3" s="1" t="s">
        <v>20</v>
      </c>
      <c r="F3" s="1" t="s">
        <v>15</v>
      </c>
      <c r="G3" s="1" t="s">
        <v>16</v>
      </c>
      <c r="H3" s="1" t="s">
        <v>17</v>
      </c>
      <c r="I3" s="1" t="s">
        <v>22</v>
      </c>
      <c r="J3" s="1" t="s">
        <v>23</v>
      </c>
      <c r="K3" s="1" t="s">
        <v>24</v>
      </c>
    </row>
    <row r="4" spans="1:11" x14ac:dyDescent="0.25">
      <c r="A4" s="4" t="s">
        <v>13</v>
      </c>
      <c r="B4">
        <v>8387</v>
      </c>
      <c r="C4">
        <f>B4*10^3</f>
        <v>8387000</v>
      </c>
      <c r="D4">
        <v>0.78</v>
      </c>
      <c r="E4">
        <f>C4/D4</f>
        <v>10752564.102564102</v>
      </c>
      <c r="F4">
        <v>150</v>
      </c>
      <c r="G4">
        <v>575</v>
      </c>
      <c r="H4">
        <v>1000</v>
      </c>
      <c r="I4">
        <f>F4*$E4</f>
        <v>1612884615.3846154</v>
      </c>
      <c r="J4">
        <f t="shared" ref="J4:K4" si="0">G4*$E4</f>
        <v>6182724358.9743586</v>
      </c>
      <c r="K4">
        <f t="shared" si="0"/>
        <v>10752564102.564102</v>
      </c>
    </row>
    <row r="5" spans="1:11" x14ac:dyDescent="0.25">
      <c r="A5" t="s">
        <v>11</v>
      </c>
      <c r="B5">
        <v>3075</v>
      </c>
      <c r="C5">
        <f t="shared" ref="C5:C7" si="1">B5*10^3</f>
        <v>3075000</v>
      </c>
      <c r="D5">
        <v>0.5</v>
      </c>
      <c r="E5">
        <f t="shared" ref="E5:E7" si="2">C5/D5</f>
        <v>6150000</v>
      </c>
      <c r="F5">
        <v>200</v>
      </c>
      <c r="G5">
        <v>400</v>
      </c>
      <c r="H5">
        <v>600</v>
      </c>
      <c r="I5">
        <f t="shared" ref="I5:I7" si="3">F5*$E5</f>
        <v>1230000000</v>
      </c>
      <c r="J5">
        <f t="shared" ref="J5:J7" si="4">G5*$E5</f>
        <v>2460000000</v>
      </c>
      <c r="K5">
        <f t="shared" ref="K5:K7" si="5">H5*$E5</f>
        <v>3690000000</v>
      </c>
    </row>
    <row r="6" spans="1:11" x14ac:dyDescent="0.25">
      <c r="A6" t="s">
        <v>4</v>
      </c>
      <c r="B6">
        <v>1280</v>
      </c>
      <c r="C6">
        <f t="shared" si="1"/>
        <v>1280000</v>
      </c>
      <c r="D6">
        <v>0.62</v>
      </c>
      <c r="E6">
        <f t="shared" si="2"/>
        <v>2064516.1290322582</v>
      </c>
      <c r="F6">
        <v>100</v>
      </c>
      <c r="G6">
        <v>250</v>
      </c>
      <c r="H6">
        <v>400</v>
      </c>
      <c r="I6">
        <f t="shared" si="3"/>
        <v>206451612.90322581</v>
      </c>
      <c r="J6">
        <f t="shared" si="4"/>
        <v>516129032.25806457</v>
      </c>
      <c r="K6">
        <f t="shared" si="5"/>
        <v>825806451.61290324</v>
      </c>
    </row>
    <row r="7" spans="1:11" x14ac:dyDescent="0.25">
      <c r="A7" t="s">
        <v>10</v>
      </c>
      <c r="B7">
        <v>765</v>
      </c>
      <c r="C7">
        <f t="shared" si="1"/>
        <v>765000</v>
      </c>
      <c r="D7">
        <v>0.52</v>
      </c>
      <c r="E7">
        <f t="shared" si="2"/>
        <v>1471153.846153846</v>
      </c>
      <c r="F7">
        <v>200</v>
      </c>
      <c r="G7">
        <v>450</v>
      </c>
      <c r="H7">
        <v>700</v>
      </c>
      <c r="I7">
        <f t="shared" si="3"/>
        <v>294230769.23076922</v>
      </c>
      <c r="J7">
        <f t="shared" si="4"/>
        <v>662019230.76923072</v>
      </c>
      <c r="K7">
        <f t="shared" si="5"/>
        <v>1029807692.3076922</v>
      </c>
    </row>
    <row r="14" spans="1:11" x14ac:dyDescent="0.25">
      <c r="A14" s="1" t="s">
        <v>12</v>
      </c>
      <c r="B14" s="1" t="s">
        <v>29</v>
      </c>
      <c r="C14" s="1" t="s">
        <v>30</v>
      </c>
      <c r="D14" s="1" t="s">
        <v>19</v>
      </c>
      <c r="E14" s="1" t="s">
        <v>20</v>
      </c>
      <c r="F14" s="1" t="s">
        <v>25</v>
      </c>
      <c r="G14" s="1" t="s">
        <v>26</v>
      </c>
    </row>
    <row r="15" spans="1:11" x14ac:dyDescent="0.25">
      <c r="A15" t="s">
        <v>8</v>
      </c>
      <c r="B15">
        <v>354000</v>
      </c>
      <c r="C15">
        <f>B15*10^3</f>
        <v>354000000</v>
      </c>
      <c r="D15">
        <v>1</v>
      </c>
      <c r="E15">
        <f>D15*C15</f>
        <v>354000000</v>
      </c>
      <c r="F15">
        <v>10.714286</v>
      </c>
      <c r="G15">
        <f>F15*E15</f>
        <v>3792857244</v>
      </c>
    </row>
    <row r="21" spans="3:4" x14ac:dyDescent="0.25">
      <c r="C21" s="1" t="s">
        <v>27</v>
      </c>
    </row>
    <row r="22" spans="3:4" x14ac:dyDescent="0.25">
      <c r="C22" s="8" t="s">
        <v>13</v>
      </c>
      <c r="D22" s="9">
        <f>J4</f>
        <v>6182724358.9743586</v>
      </c>
    </row>
    <row r="23" spans="3:4" x14ac:dyDescent="0.25">
      <c r="C23" s="1" t="s">
        <v>11</v>
      </c>
      <c r="D23" s="9">
        <f t="shared" ref="D23:D25" si="6">J5</f>
        <v>2460000000</v>
      </c>
    </row>
    <row r="24" spans="3:4" x14ac:dyDescent="0.25">
      <c r="C24" s="1" t="s">
        <v>4</v>
      </c>
      <c r="D24" s="9">
        <f t="shared" si="6"/>
        <v>516129032.25806457</v>
      </c>
    </row>
    <row r="25" spans="3:4" x14ac:dyDescent="0.25">
      <c r="C25" s="1" t="s">
        <v>10</v>
      </c>
      <c r="D25" s="9">
        <f t="shared" si="6"/>
        <v>662019230.76923072</v>
      </c>
    </row>
    <row r="26" spans="3:4" x14ac:dyDescent="0.25">
      <c r="C26" s="1" t="s">
        <v>8</v>
      </c>
      <c r="D26" s="9">
        <f>G15</f>
        <v>3792857244</v>
      </c>
    </row>
    <row r="27" spans="3:4" x14ac:dyDescent="0.25">
      <c r="C27" s="1" t="s">
        <v>28</v>
      </c>
      <c r="D27" s="9">
        <f>SUM(D22:D26)</f>
        <v>13613729866.001652</v>
      </c>
    </row>
  </sheetData>
  <mergeCells count="1">
    <mergeCell ref="F2:H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="70" zoomScaleNormal="70" workbookViewId="0"/>
  </sheetViews>
  <sheetFormatPr defaultColWidth="43.85546875" defaultRowHeight="15" x14ac:dyDescent="0.25"/>
  <cols>
    <col min="1" max="1" width="25.42578125" customWidth="1"/>
    <col min="2" max="2" width="15" bestFit="1" customWidth="1"/>
    <col min="3" max="3" width="11.7109375" bestFit="1" customWidth="1"/>
    <col min="4" max="4" width="14.85546875" bestFit="1" customWidth="1"/>
    <col min="5" max="6" width="8.85546875" bestFit="1" customWidth="1"/>
    <col min="7" max="7" width="10" bestFit="1" customWidth="1"/>
    <col min="8" max="8" width="11.140625" bestFit="1" customWidth="1"/>
    <col min="9" max="9" width="15.7109375" customWidth="1"/>
    <col min="10" max="10" width="29.7109375" customWidth="1"/>
    <col min="11" max="11" width="15.7109375" customWidth="1"/>
    <col min="12" max="12" width="17.28515625" customWidth="1"/>
  </cols>
  <sheetData>
    <row r="1" spans="1:12" x14ac:dyDescent="0.25">
      <c r="A1" t="s">
        <v>31</v>
      </c>
      <c r="B1" t="s">
        <v>32</v>
      </c>
      <c r="C1" t="s">
        <v>33</v>
      </c>
      <c r="D1" t="s">
        <v>34</v>
      </c>
    </row>
    <row r="2" spans="1:12" x14ac:dyDescent="0.25">
      <c r="A2" t="s">
        <v>35</v>
      </c>
      <c r="B2">
        <v>5.9370000000000003</v>
      </c>
      <c r="C2" t="s">
        <v>36</v>
      </c>
      <c r="D2">
        <v>20722</v>
      </c>
    </row>
    <row r="3" spans="1:12" x14ac:dyDescent="0.25">
      <c r="A3" t="s">
        <v>37</v>
      </c>
      <c r="B3">
        <v>712</v>
      </c>
      <c r="C3" t="s">
        <v>38</v>
      </c>
      <c r="D3">
        <v>1383166</v>
      </c>
      <c r="J3" s="2" t="s">
        <v>55</v>
      </c>
      <c r="K3" s="12" t="s">
        <v>31</v>
      </c>
      <c r="L3" s="13"/>
    </row>
    <row r="4" spans="1:12" x14ac:dyDescent="0.25">
      <c r="A4" t="s">
        <v>39</v>
      </c>
      <c r="B4" s="10">
        <f>B2/B3</f>
        <v>8.3384831460674158E-3</v>
      </c>
      <c r="C4" t="s">
        <v>39</v>
      </c>
      <c r="D4">
        <f>D2/D3</f>
        <v>1.4981571264765039E-2</v>
      </c>
      <c r="J4" s="4" t="s">
        <v>56</v>
      </c>
      <c r="K4" s="14">
        <f>H14/1000</f>
        <v>1.214054</v>
      </c>
      <c r="L4" s="5"/>
    </row>
    <row r="5" spans="1:12" x14ac:dyDescent="0.25">
      <c r="A5" t="s">
        <v>40</v>
      </c>
      <c r="B5">
        <v>997.4</v>
      </c>
      <c r="C5" t="s">
        <v>41</v>
      </c>
      <c r="D5">
        <v>1754.7239999999999</v>
      </c>
      <c r="J5" s="4" t="s">
        <v>57</v>
      </c>
      <c r="K5" s="14">
        <f>H13/1000</f>
        <v>2.0110000000000003E-2</v>
      </c>
      <c r="L5" s="5"/>
    </row>
    <row r="6" spans="1:12" x14ac:dyDescent="0.25">
      <c r="A6" t="s">
        <v>42</v>
      </c>
      <c r="B6">
        <f>B5*0.8%</f>
        <v>7.9791999999999996</v>
      </c>
      <c r="C6" t="s">
        <v>43</v>
      </c>
      <c r="D6">
        <f>D5*1.5%</f>
        <v>26.32086</v>
      </c>
      <c r="J6" s="6" t="s">
        <v>58</v>
      </c>
      <c r="K6" s="15">
        <v>13.5</v>
      </c>
      <c r="L6" s="7"/>
    </row>
    <row r="7" spans="1:12" x14ac:dyDescent="0.25">
      <c r="J7" s="2" t="s">
        <v>59</v>
      </c>
      <c r="K7" s="16"/>
      <c r="L7" s="13"/>
    </row>
    <row r="8" spans="1:12" x14ac:dyDescent="0.25">
      <c r="J8" s="4" t="s">
        <v>60</v>
      </c>
      <c r="K8" s="17">
        <v>1</v>
      </c>
      <c r="L8" s="18">
        <v>4</v>
      </c>
    </row>
    <row r="9" spans="1:12" x14ac:dyDescent="0.25">
      <c r="J9" s="4" t="s">
        <v>61</v>
      </c>
      <c r="K9" s="14">
        <f>$K$4*12/K8</f>
        <v>14.568648</v>
      </c>
      <c r="L9" s="19">
        <f>$K$4*12/L8</f>
        <v>3.6421619999999999</v>
      </c>
    </row>
    <row r="10" spans="1:12" x14ac:dyDescent="0.25">
      <c r="J10" s="4" t="s">
        <v>62</v>
      </c>
      <c r="K10" s="20">
        <f>K9/$K$6</f>
        <v>1.0791591111111112</v>
      </c>
      <c r="L10" s="21">
        <f>L9/$K$6</f>
        <v>0.2697897777777778</v>
      </c>
    </row>
    <row r="11" spans="1:12" x14ac:dyDescent="0.25">
      <c r="A11" s="11" t="s">
        <v>44</v>
      </c>
      <c r="J11" s="4" t="s">
        <v>63</v>
      </c>
      <c r="K11" s="22">
        <f>$K$5/K10*1000000000</f>
        <v>18634879.502888672</v>
      </c>
      <c r="L11" s="23">
        <f>$K$5/L10*1000000000</f>
        <v>74539518.011554688</v>
      </c>
    </row>
    <row r="12" spans="1:12" x14ac:dyDescent="0.25">
      <c r="A12" t="s">
        <v>33</v>
      </c>
      <c r="B12" t="s">
        <v>45</v>
      </c>
      <c r="C12" t="s">
        <v>46</v>
      </c>
      <c r="D12" t="s">
        <v>47</v>
      </c>
      <c r="E12" t="s">
        <v>48</v>
      </c>
      <c r="F12" t="s">
        <v>49</v>
      </c>
      <c r="G12" t="s">
        <v>28</v>
      </c>
      <c r="H12" t="s">
        <v>50</v>
      </c>
      <c r="J12" s="4" t="s">
        <v>64</v>
      </c>
      <c r="K12" s="24">
        <v>1</v>
      </c>
      <c r="L12" s="5">
        <v>3</v>
      </c>
    </row>
    <row r="13" spans="1:12" x14ac:dyDescent="0.25">
      <c r="A13" t="s">
        <v>51</v>
      </c>
      <c r="B13">
        <v>16.34</v>
      </c>
      <c r="C13">
        <v>23.03</v>
      </c>
      <c r="D13">
        <v>34.53</v>
      </c>
      <c r="E13">
        <v>12.59</v>
      </c>
      <c r="F13">
        <v>14.06</v>
      </c>
      <c r="G13">
        <f>SUM(B13:F13)</f>
        <v>100.55000000000001</v>
      </c>
      <c r="H13">
        <f>AVERAGE(B13:F13)</f>
        <v>20.110000000000003</v>
      </c>
      <c r="J13" s="4" t="s">
        <v>65</v>
      </c>
      <c r="K13" s="24">
        <v>2</v>
      </c>
      <c r="L13" s="5">
        <v>4</v>
      </c>
    </row>
    <row r="14" spans="1:12" x14ac:dyDescent="0.25">
      <c r="A14" t="s">
        <v>52</v>
      </c>
      <c r="B14">
        <v>674.26</v>
      </c>
      <c r="C14">
        <v>519.1</v>
      </c>
      <c r="D14">
        <v>2134.1</v>
      </c>
      <c r="E14">
        <v>1813.1</v>
      </c>
      <c r="F14">
        <v>929.71</v>
      </c>
      <c r="G14">
        <f>SUM(B14:F14)</f>
        <v>6070.2699999999995</v>
      </c>
      <c r="H14">
        <f t="shared" ref="H14:H16" si="0">AVERAGE(B14:F14)</f>
        <v>1214.0539999999999</v>
      </c>
      <c r="J14" s="6" t="s">
        <v>66</v>
      </c>
      <c r="K14" s="25">
        <f>K11*K12*K13</f>
        <v>37269759.005777344</v>
      </c>
      <c r="L14" s="26">
        <f>L11*L12*L13</f>
        <v>894474216.13865626</v>
      </c>
    </row>
    <row r="15" spans="1:12" x14ac:dyDescent="0.25">
      <c r="A15" t="s">
        <v>53</v>
      </c>
      <c r="B15" s="10">
        <f t="shared" ref="B15:G15" si="1">B13/B14</f>
        <v>2.4233975024471274E-2</v>
      </c>
      <c r="C15" s="10">
        <f t="shared" si="1"/>
        <v>4.4365247543825856E-2</v>
      </c>
      <c r="D15" s="10">
        <f t="shared" si="1"/>
        <v>1.6180122768380115E-2</v>
      </c>
      <c r="E15" s="10">
        <f t="shared" si="1"/>
        <v>6.94390822348464E-3</v>
      </c>
      <c r="F15" s="10">
        <f t="shared" si="1"/>
        <v>1.5122995342633724E-2</v>
      </c>
      <c r="G15" s="10">
        <f t="shared" si="1"/>
        <v>1.6564337335901042E-2</v>
      </c>
      <c r="H15" s="10">
        <f>H13/H14</f>
        <v>1.6564337335901045E-2</v>
      </c>
    </row>
    <row r="16" spans="1:12" x14ac:dyDescent="0.25">
      <c r="A16" t="s">
        <v>54</v>
      </c>
      <c r="B16">
        <v>77.5</v>
      </c>
      <c r="C16">
        <v>150.01</v>
      </c>
      <c r="D16">
        <v>238.89</v>
      </c>
      <c r="E16">
        <v>104.87</v>
      </c>
      <c r="F16">
        <v>107.67</v>
      </c>
      <c r="G16">
        <f>SUM(B16:F16)</f>
        <v>678.93999999999994</v>
      </c>
      <c r="H16">
        <f t="shared" si="0"/>
        <v>135.78799999999998</v>
      </c>
    </row>
    <row r="17" spans="1:8" x14ac:dyDescent="0.25">
      <c r="A17" t="s">
        <v>39</v>
      </c>
      <c r="B17" s="10">
        <f>B16/B14</f>
        <v>0.11494082401447513</v>
      </c>
      <c r="C17" s="10">
        <f t="shared" ref="C17:H17" si="2">C16/C14</f>
        <v>0.28898092853014828</v>
      </c>
      <c r="D17" s="10">
        <f t="shared" si="2"/>
        <v>0.11193945925682958</v>
      </c>
      <c r="E17" s="10">
        <f t="shared" si="2"/>
        <v>5.7840163256301369E-2</v>
      </c>
      <c r="F17" s="10">
        <f t="shared" si="2"/>
        <v>0.11581030643964246</v>
      </c>
      <c r="G17" s="10">
        <f t="shared" si="2"/>
        <v>0.1118467547572019</v>
      </c>
      <c r="H17" s="10">
        <f t="shared" si="2"/>
        <v>0.1118467547572019</v>
      </c>
    </row>
  </sheetData>
  <hyperlinks>
    <hyperlink ref="A1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Names</vt:lpstr>
      <vt:lpstr>Estimates of spending</vt:lpstr>
      <vt:lpstr>Estimates of drug-cash hoarding</vt:lpstr>
    </vt:vector>
  </TitlesOfParts>
  <Company>Reserve Bank of Australia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2018-10-25T21:42:54Z</dcterms:created>
  <dcterms:modified xsi:type="dcterms:W3CDTF">2018-10-25T22:49:22Z</dcterms:modified>
</cp:coreProperties>
</file>